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553" activeTab="0"/>
  </bookViews>
  <sheets>
    <sheet name="Med_49_Agri" sheetId="1" r:id="rId1"/>
    <sheet name="Coment_49" sheetId="2" r:id="rId2"/>
    <sheet name="Hoja2" sheetId="3" r:id="rId3"/>
  </sheets>
  <definedNames>
    <definedName name="_xlnm.Print_Area" localSheetId="0">'Med_49_Agri'!$A$1:$D$33</definedName>
  </definedNames>
  <calcPr fullCalcOnLoad="1"/>
</workbook>
</file>

<file path=xl/sharedStrings.xml><?xml version="1.0" encoding="utf-8"?>
<sst xmlns="http://schemas.openxmlformats.org/spreadsheetml/2006/main" count="142" uniqueCount="105">
  <si>
    <t>DENOMINACIÓN DE LA MEDIDA</t>
  </si>
  <si>
    <t>DEFINICIÓN MEDIDA</t>
  </si>
  <si>
    <t>Sector en el que aplica la medida</t>
  </si>
  <si>
    <t>Tipo de medida</t>
  </si>
  <si>
    <t>Descripción y Unidad</t>
  </si>
  <si>
    <t>INVERSIÓN</t>
  </si>
  <si>
    <t>Componente local de la inversion %</t>
  </si>
  <si>
    <t>Empleo h x año en fase implementación</t>
  </si>
  <si>
    <t>Fiscalidad invers.%</t>
  </si>
  <si>
    <t>OPERACIÓN Y MANTENIMIENTO</t>
  </si>
  <si>
    <t>Coste de O&amp;M anual (€)</t>
  </si>
  <si>
    <t>Comp local O&amp;M (%)</t>
  </si>
  <si>
    <t>Empleo h x año en fase O&amp;M</t>
  </si>
  <si>
    <t>Fiscalidad OM%</t>
  </si>
  <si>
    <t>Años de duración de la medida</t>
  </si>
  <si>
    <t>Años antelacion inversión</t>
  </si>
  <si>
    <t>CO2 - ENERGÍA</t>
  </si>
  <si>
    <t>Mitigacion difusos kg CO2/año</t>
  </si>
  <si>
    <t>Mitigacion ETS kg CO2/año</t>
  </si>
  <si>
    <t>Ahorro en energia final Kwh/año</t>
  </si>
  <si>
    <t>APLICACIÓN DE LA MEDIDA</t>
  </si>
  <si>
    <t>Índice de penetración mínimo anual %</t>
  </si>
  <si>
    <t>Índice de penetración maximo anual %</t>
  </si>
  <si>
    <t>Índice Penetración %</t>
  </si>
  <si>
    <t>Reducción sobre el escenario base %</t>
  </si>
  <si>
    <t>Nº MEDIDA</t>
  </si>
  <si>
    <t>Inversión (€)</t>
  </si>
  <si>
    <t>AGRICULTURA</t>
  </si>
  <si>
    <t>ha</t>
  </si>
  <si>
    <t>Unidades</t>
  </si>
  <si>
    <t>Fuente</t>
  </si>
  <si>
    <t>AÑO</t>
  </si>
  <si>
    <t>UNIVERSOS PROYECTADOS SIN MEDIDAS</t>
  </si>
  <si>
    <t>Observaciones</t>
  </si>
  <si>
    <t>AGRI4</t>
  </si>
  <si>
    <t>HIPÓTESIS</t>
  </si>
  <si>
    <t>VARIABLE DE ENTRADA</t>
  </si>
  <si>
    <t>VALORES</t>
  </si>
  <si>
    <t xml:space="preserve">UTILIZACIÓN COMO BIOMASA DE LOS RESIDUOS DE PODA DE CULTIVOS LEÑOSOS </t>
  </si>
  <si>
    <t>Utilización como biomasa en sustitución de combustibles fósiles de los residuos de poda en una hectárea dedicada a cultivos leñosos (olivar, viñedo, frutales, frutos secos)</t>
  </si>
  <si>
    <t xml:space="preserve">Se consideran los costes de recogida de los residuos y transporte al centro de recepción de la biomasa. También se han tenido en cuenta los ingresos que tendría el agricultor por la venta de la biomasa </t>
  </si>
  <si>
    <t>Tiene en cuenta el trabajo auxiliar y trabajo de campo. Se consideran 8h por hectárea.</t>
  </si>
  <si>
    <t xml:space="preserve">Se considera la vida media de una plantación </t>
  </si>
  <si>
    <t>hectáreas dedicadas a cultivos leñosos</t>
  </si>
  <si>
    <t>SG Frutas y Hortalizas, Aceite de Oliva y Vitivinicultura</t>
  </si>
  <si>
    <t>Emisiones quema</t>
  </si>
  <si>
    <t>Cultivo</t>
  </si>
  <si>
    <t>Cantidad de materia seca residuos (t)</t>
  </si>
  <si>
    <t>Porcentaje quemado %</t>
  </si>
  <si>
    <t>Fracción de Biomasa Oxidada</t>
  </si>
  <si>
    <t>Biomasa total quemada (t)</t>
  </si>
  <si>
    <t>Fracción de carbono</t>
  </si>
  <si>
    <t>Fracción de nitrógeno</t>
  </si>
  <si>
    <t>C total liberado (t)</t>
  </si>
  <si>
    <t>N total liberado (t)</t>
  </si>
  <si>
    <t>f.e. CH4 (kg CH4/kg C)</t>
  </si>
  <si>
    <t>f.e. N2O (kg N2O-N/kg N))</t>
  </si>
  <si>
    <t>Emisiones CH4 (t)</t>
  </si>
  <si>
    <t>Emisiones N2O (t)</t>
  </si>
  <si>
    <t>Emisiones CO2-eq (t)</t>
  </si>
  <si>
    <t>A</t>
  </si>
  <si>
    <t>B</t>
  </si>
  <si>
    <t>C</t>
  </si>
  <si>
    <t>D=A×B×C</t>
  </si>
  <si>
    <t>E</t>
  </si>
  <si>
    <t>F</t>
  </si>
  <si>
    <t>G=D×E</t>
  </si>
  <si>
    <t>H=D×F</t>
  </si>
  <si>
    <t>I</t>
  </si>
  <si>
    <t>J</t>
  </si>
  <si>
    <t>K = G x I</t>
  </si>
  <si>
    <t>L = G x J</t>
  </si>
  <si>
    <t>M =(K x 21) + (L x 310)</t>
  </si>
  <si>
    <t>OLIVAR</t>
  </si>
  <si>
    <t>VIÑEDO</t>
  </si>
  <si>
    <t>FRUTALES</t>
  </si>
  <si>
    <t>FRUTOS SECOS</t>
  </si>
  <si>
    <t>Total</t>
  </si>
  <si>
    <t>MATERIA SECA (T)</t>
  </si>
  <si>
    <t>TOTAL</t>
  </si>
  <si>
    <t>FRACCIÓN DE C</t>
  </si>
  <si>
    <t>FRACCIÓN DE N</t>
  </si>
  <si>
    <t>Emisiones residuos</t>
  </si>
  <si>
    <t>Porcentaje NO quemado %</t>
  </si>
  <si>
    <t>Biomasa total depositada (t)</t>
  </si>
  <si>
    <t>N total en el residuo (t)</t>
  </si>
  <si>
    <t>C = A x B</t>
  </si>
  <si>
    <t>D</t>
  </si>
  <si>
    <t>E=CxD</t>
  </si>
  <si>
    <t>G= E x F</t>
  </si>
  <si>
    <t>H = G x 310</t>
  </si>
  <si>
    <t>Emisiones evitadas</t>
  </si>
  <si>
    <t>Emisiones quema CO2-eq (t)
A</t>
  </si>
  <si>
    <t>Emisiones residuos CO2-eq (t)
B</t>
  </si>
  <si>
    <t>Emisiones evitadas Co2-eq (t)
C=A+B</t>
  </si>
  <si>
    <t>Superficie 
(ha)
D</t>
  </si>
  <si>
    <t>Emisiones evitadas 
(t CO2eq/ha)</t>
  </si>
  <si>
    <t>Emisiones evitadas (kgCo2/ha)</t>
  </si>
  <si>
    <t>Toneladas de materia seca por hectarea</t>
  </si>
  <si>
    <t xml:space="preserve">Se han considerado la suma de las emisiones evitadas por no quemar los residuos y por no dejar que dichos residuos se descompongan. Faltaría añadir las emisiones evitadas por dejar de utilizar combustibles fósiles y utilizar biomasa en su lugar. </t>
  </si>
  <si>
    <t>Esta medida se ha elaborado por la OECC y la DG de Producciones y mercados agrarios del MAGRAMA</t>
  </si>
  <si>
    <t>Estos campos se rellenarán una vez se tengan datos de L de gasóleo ahorrados</t>
  </si>
  <si>
    <t>Universo</t>
  </si>
  <si>
    <t>EMISIONES TOTALES</t>
  </si>
  <si>
    <t>Se considera como universo el total de hectáreas en producción en España dedicadas a los cultivos leñosos. La superficie de olivar se habría dividido entre dos, puesto que la poda es anual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</si>
</sst>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"/>
    <numFmt numFmtId="166" formatCode="0.000"/>
    <numFmt numFmtId="167" formatCode="#,##0.00\ &quot;€&quot;"/>
    <numFmt numFmtId="168" formatCode="0.0"/>
    <numFmt numFmtId="169" formatCode="#,##0.0"/>
  </numFmts>
  <fonts count="1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8"/>
      <name val="Arial Narrow"/>
      <family val="2"/>
    </font>
    <font>
      <b/>
      <sz val="18"/>
      <color indexed="9"/>
      <name val="Arial Narrow"/>
      <family val="2"/>
    </font>
    <font>
      <sz val="18"/>
      <color indexed="9"/>
      <name val="Arial Narrow"/>
      <family val="2"/>
    </font>
    <font>
      <sz val="16"/>
      <name val="Arial Narrow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b/>
      <sz val="14"/>
      <name val="Times New Roman"/>
      <family val="1"/>
    </font>
    <font>
      <u val="single"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11"/>
      <color indexed="6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lightDown">
        <fgColor indexed="22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2"/>
      </left>
      <right style="thin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 style="double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double">
        <color indexed="22"/>
      </top>
      <bottom>
        <color indexed="63"/>
      </bottom>
    </border>
    <border>
      <left style="thin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>
        <color indexed="63"/>
      </top>
      <bottom style="thin">
        <color indexed="22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43"/>
      </bottom>
    </border>
    <border>
      <left style="double">
        <color indexed="22"/>
      </left>
      <right>
        <color indexed="63"/>
      </right>
      <top style="double">
        <color indexed="43"/>
      </top>
      <bottom style="double">
        <color indexed="43"/>
      </bottom>
    </border>
    <border>
      <left style="double">
        <color indexed="22"/>
      </left>
      <right>
        <color indexed="63"/>
      </right>
      <top style="double">
        <color indexed="43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 style="double">
        <color indexed="22"/>
      </left>
      <right style="thin">
        <color indexed="22"/>
      </right>
      <top style="double">
        <color indexed="22"/>
      </top>
      <bottom style="double">
        <color indexed="43"/>
      </bottom>
    </border>
    <border>
      <left style="double">
        <color indexed="22"/>
      </left>
      <right style="thin">
        <color indexed="22"/>
      </right>
      <top style="double">
        <color indexed="43"/>
      </top>
      <bottom style="double">
        <color indexed="43"/>
      </bottom>
    </border>
    <border>
      <left style="double">
        <color indexed="22"/>
      </left>
      <right style="thin">
        <color indexed="22"/>
      </right>
      <top style="double">
        <color indexed="43"/>
      </top>
      <bottom style="double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" fillId="0" borderId="0" xfId="20" applyNumberFormat="1" applyFont="1" applyFill="1" applyBorder="1" applyAlignment="1">
      <alignment horizontal="left" vertical="center"/>
      <protection/>
    </xf>
    <xf numFmtId="2" fontId="2" fillId="0" borderId="0" xfId="20" applyNumberFormat="1" applyFont="1" applyFill="1" applyBorder="1" applyAlignment="1">
      <alignment horizontal="center" vertical="center"/>
      <protection/>
    </xf>
    <xf numFmtId="2" fontId="3" fillId="0" borderId="0" xfId="0" applyNumberFormat="1" applyFont="1" applyBorder="1" applyAlignment="1">
      <alignment horizontal="center" vertical="center"/>
    </xf>
    <xf numFmtId="2" fontId="2" fillId="0" borderId="0" xfId="20" applyNumberFormat="1" applyFont="1" applyFill="1" applyAlignment="1">
      <alignment horizontal="left" vertical="center"/>
      <protection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21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6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6" fillId="6" borderId="10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vertical="center"/>
    </xf>
    <xf numFmtId="167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/>
    </xf>
    <xf numFmtId="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165" fontId="4" fillId="0" borderId="17" xfId="0" applyNumberFormat="1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vertical="center"/>
    </xf>
    <xf numFmtId="9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166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10" fontId="4" fillId="0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8" fillId="9" borderId="24" xfId="20" applyFont="1" applyFill="1" applyBorder="1" applyAlignment="1">
      <alignment horizontal="center" vertical="center" wrapText="1"/>
      <protection/>
    </xf>
    <xf numFmtId="0" fontId="8" fillId="9" borderId="25" xfId="20" applyFont="1" applyFill="1" applyBorder="1" applyAlignment="1">
      <alignment horizontal="center" vertical="center"/>
      <protection/>
    </xf>
    <xf numFmtId="0" fontId="8" fillId="9" borderId="25" xfId="20" applyFont="1" applyFill="1" applyBorder="1" applyAlignment="1">
      <alignment horizontal="center" vertical="center" wrapText="1"/>
      <protection/>
    </xf>
    <xf numFmtId="0" fontId="8" fillId="7" borderId="26" xfId="0" applyFont="1" applyFill="1" applyBorder="1" applyAlignment="1">
      <alignment horizontal="center" vertical="center" wrapText="1"/>
    </xf>
    <xf numFmtId="0" fontId="9" fillId="8" borderId="27" xfId="20" applyFont="1" applyFill="1" applyBorder="1" applyAlignment="1">
      <alignment vertical="center" wrapText="1"/>
      <protection/>
    </xf>
    <xf numFmtId="3" fontId="9" fillId="10" borderId="28" xfId="20" applyNumberFormat="1" applyFont="1" applyFill="1" applyBorder="1" applyAlignment="1" applyProtection="1">
      <alignment horizontal="center" vertical="center" wrapText="1"/>
      <protection locked="0"/>
    </xf>
    <xf numFmtId="0" fontId="9" fillId="10" borderId="28" xfId="20" applyFont="1" applyFill="1" applyBorder="1" applyAlignment="1" applyProtection="1">
      <alignment horizontal="center" vertical="center" wrapText="1"/>
      <protection locked="0"/>
    </xf>
    <xf numFmtId="0" fontId="9" fillId="10" borderId="29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3" fontId="12" fillId="0" borderId="30" xfId="0" applyNumberFormat="1" applyFont="1" applyBorder="1" applyAlignment="1">
      <alignment horizontal="right" wrapText="1"/>
    </xf>
    <xf numFmtId="3" fontId="12" fillId="11" borderId="30" xfId="0" applyNumberFormat="1" applyFont="1" applyFill="1" applyBorder="1" applyAlignment="1">
      <alignment horizontal="right" wrapText="1"/>
    </xf>
    <xf numFmtId="3" fontId="12" fillId="12" borderId="30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 horizontal="right" wrapText="1"/>
    </xf>
    <xf numFmtId="3" fontId="12" fillId="13" borderId="30" xfId="0" applyNumberFormat="1" applyFont="1" applyFill="1" applyBorder="1" applyAlignment="1">
      <alignment horizontal="right" wrapText="1"/>
    </xf>
    <xf numFmtId="4" fontId="4" fillId="14" borderId="17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30" xfId="0" applyNumberFormat="1" applyFont="1" applyBorder="1" applyAlignment="1">
      <alignment horizontal="center" vertical="center" wrapText="1"/>
    </xf>
    <xf numFmtId="3" fontId="12" fillId="2" borderId="30" xfId="0" applyNumberFormat="1" applyFont="1" applyFill="1" applyBorder="1" applyAlignment="1">
      <alignment horizontal="center" vertical="center" wrapText="1"/>
    </xf>
    <xf numFmtId="3" fontId="12" fillId="14" borderId="30" xfId="0" applyNumberFormat="1" applyFont="1" applyFill="1" applyBorder="1" applyAlignment="1">
      <alignment horizontal="center" vertical="center" wrapText="1"/>
    </xf>
    <xf numFmtId="3" fontId="12" fillId="0" borderId="30" xfId="0" applyNumberFormat="1" applyFont="1" applyFill="1" applyBorder="1" applyAlignment="1">
      <alignment horizontal="center" vertical="center" wrapText="1"/>
    </xf>
    <xf numFmtId="3" fontId="12" fillId="11" borderId="30" xfId="0" applyNumberFormat="1" applyFont="1" applyFill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wrapText="1"/>
    </xf>
    <xf numFmtId="3" fontId="12" fillId="0" borderId="30" xfId="0" applyNumberFormat="1" applyFont="1" applyBorder="1" applyAlignment="1">
      <alignment wrapText="1"/>
    </xf>
    <xf numFmtId="3" fontId="12" fillId="2" borderId="30" xfId="0" applyNumberFormat="1" applyFont="1" applyFill="1" applyBorder="1" applyAlignment="1">
      <alignment horizontal="center" wrapText="1"/>
    </xf>
    <xf numFmtId="3" fontId="12" fillId="14" borderId="30" xfId="0" applyNumberFormat="1" applyFont="1" applyFill="1" applyBorder="1" applyAlignment="1">
      <alignment/>
    </xf>
    <xf numFmtId="3" fontId="12" fillId="0" borderId="0" xfId="0" applyNumberFormat="1" applyFont="1" applyAlignment="1">
      <alignment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3" fontId="12" fillId="13" borderId="30" xfId="0" applyNumberFormat="1" applyFont="1" applyFill="1" applyBorder="1" applyAlignment="1">
      <alignment horizontal="center" vertical="center" wrapText="1"/>
    </xf>
    <xf numFmtId="3" fontId="12" fillId="0" borderId="31" xfId="0" applyNumberFormat="1" applyFont="1" applyBorder="1" applyAlignment="1">
      <alignment wrapText="1"/>
    </xf>
    <xf numFmtId="3" fontId="12" fillId="0" borderId="32" xfId="0" applyNumberFormat="1" applyFont="1" applyBorder="1" applyAlignment="1">
      <alignment wrapText="1"/>
    </xf>
    <xf numFmtId="3" fontId="12" fillId="0" borderId="30" xfId="0" applyNumberFormat="1" applyFont="1" applyFill="1" applyBorder="1" applyAlignment="1">
      <alignment wrapText="1"/>
    </xf>
    <xf numFmtId="3" fontId="12" fillId="0" borderId="30" xfId="0" applyNumberFormat="1" applyFont="1" applyFill="1" applyBorder="1" applyAlignment="1">
      <alignment horizontal="center" wrapText="1"/>
    </xf>
    <xf numFmtId="3" fontId="12" fillId="14" borderId="30" xfId="0" applyNumberFormat="1" applyFont="1" applyFill="1" applyBorder="1" applyAlignment="1">
      <alignment wrapText="1"/>
    </xf>
    <xf numFmtId="3" fontId="12" fillId="15" borderId="30" xfId="0" applyNumberFormat="1" applyFont="1" applyFill="1" applyBorder="1" applyAlignment="1">
      <alignment horizontal="center" vertical="center" wrapText="1"/>
    </xf>
    <xf numFmtId="3" fontId="12" fillId="8" borderId="30" xfId="0" applyNumberFormat="1" applyFont="1" applyFill="1" applyBorder="1" applyAlignment="1">
      <alignment horizontal="center" wrapText="1"/>
    </xf>
    <xf numFmtId="3" fontId="12" fillId="16" borderId="30" xfId="0" applyNumberFormat="1" applyFont="1" applyFill="1" applyBorder="1" applyAlignment="1">
      <alignment horizontal="center" wrapText="1"/>
    </xf>
    <xf numFmtId="3" fontId="14" fillId="17" borderId="30" xfId="0" applyNumberFormat="1" applyFont="1" applyFill="1" applyBorder="1" applyAlignment="1">
      <alignment horizontal="center" wrapText="1"/>
    </xf>
    <xf numFmtId="3" fontId="12" fillId="18" borderId="30" xfId="0" applyNumberFormat="1" applyFont="1" applyFill="1" applyBorder="1" applyAlignment="1">
      <alignment horizontal="center" wrapText="1"/>
    </xf>
    <xf numFmtId="3" fontId="12" fillId="0" borderId="30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4" fontId="12" fillId="0" borderId="30" xfId="0" applyNumberFormat="1" applyFont="1" applyBorder="1" applyAlignment="1">
      <alignment/>
    </xf>
    <xf numFmtId="4" fontId="12" fillId="0" borderId="3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30" xfId="0" applyNumberFormat="1" applyFont="1" applyFill="1" applyBorder="1" applyAlignment="1">
      <alignment horizontal="center" wrapText="1"/>
    </xf>
    <xf numFmtId="4" fontId="12" fillId="2" borderId="30" xfId="0" applyNumberFormat="1" applyFont="1" applyFill="1" applyBorder="1" applyAlignment="1">
      <alignment horizontal="center" wrapText="1"/>
    </xf>
    <xf numFmtId="4" fontId="12" fillId="0" borderId="0" xfId="0" applyNumberFormat="1" applyFont="1" applyAlignment="1">
      <alignment/>
    </xf>
    <xf numFmtId="2" fontId="7" fillId="0" borderId="33" xfId="0" applyNumberFormat="1" applyFont="1" applyBorder="1" applyAlignment="1">
      <alignment wrapText="1"/>
    </xf>
    <xf numFmtId="2" fontId="7" fillId="0" borderId="34" xfId="0" applyNumberFormat="1" applyFont="1" applyBorder="1" applyAlignment="1">
      <alignment wrapText="1"/>
    </xf>
    <xf numFmtId="2" fontId="7" fillId="0" borderId="35" xfId="0" applyNumberFormat="1" applyFont="1" applyBorder="1" applyAlignment="1">
      <alignment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19" borderId="39" xfId="0" applyFont="1" applyFill="1" applyBorder="1" applyAlignment="1">
      <alignment horizontal="center" vertical="center" wrapText="1"/>
    </xf>
    <xf numFmtId="0" fontId="5" fillId="19" borderId="40" xfId="0" applyFont="1" applyFill="1" applyBorder="1" applyAlignment="1">
      <alignment horizontal="center" vertical="center" wrapText="1"/>
    </xf>
    <xf numFmtId="0" fontId="5" fillId="19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3" fontId="12" fillId="0" borderId="30" xfId="0" applyNumberFormat="1" applyFont="1" applyBorder="1" applyAlignment="1">
      <alignment wrapText="1"/>
    </xf>
    <xf numFmtId="3" fontId="14" fillId="0" borderId="31" xfId="0" applyNumberFormat="1" applyFont="1" applyBorder="1" applyAlignment="1">
      <alignment horizontal="center" vertical="center" wrapText="1"/>
    </xf>
    <xf numFmtId="3" fontId="14" fillId="0" borderId="32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wrapText="1"/>
    </xf>
    <xf numFmtId="3" fontId="12" fillId="0" borderId="32" xfId="0" applyNumberFormat="1" applyFont="1" applyBorder="1" applyAlignment="1">
      <alignment wrapText="1"/>
    </xf>
    <xf numFmtId="3" fontId="12" fillId="0" borderId="30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2" fillId="20" borderId="31" xfId="0" applyNumberFormat="1" applyFont="1" applyFill="1" applyBorder="1" applyAlignment="1">
      <alignment wrapText="1"/>
    </xf>
    <xf numFmtId="3" fontId="12" fillId="20" borderId="32" xfId="0" applyNumberFormat="1" applyFont="1" applyFill="1" applyBorder="1" applyAlignment="1">
      <alignment wrapText="1"/>
    </xf>
    <xf numFmtId="3" fontId="12" fillId="20" borderId="30" xfId="0" applyNumberFormat="1" applyFont="1" applyFill="1" applyBorder="1" applyAlignment="1">
      <alignment wrapText="1"/>
    </xf>
    <xf numFmtId="3" fontId="12" fillId="0" borderId="31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 wrapText="1"/>
    </xf>
  </cellXfs>
  <cellStyles count="8">
    <cellStyle name="Normal" xfId="0"/>
    <cellStyle name="Input" xfId="15"/>
    <cellStyle name="Comma" xfId="16"/>
    <cellStyle name="Comma [0]" xfId="17"/>
    <cellStyle name="Currency" xfId="18"/>
    <cellStyle name="Currency [0]" xfId="19"/>
    <cellStyle name="Normal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8"/>
  <sheetViews>
    <sheetView tabSelected="1" view="pageBreakPreview" zoomScale="60" zoomScaleNormal="75" workbookViewId="0" topLeftCell="A10">
      <selection activeCell="D27" sqref="D27"/>
    </sheetView>
  </sheetViews>
  <sheetFormatPr defaultColWidth="11.421875" defaultRowHeight="12.75"/>
  <cols>
    <col min="1" max="1" width="24.8515625" style="1" customWidth="1"/>
    <col min="2" max="2" width="55.7109375" style="1" customWidth="1"/>
    <col min="3" max="3" width="22.140625" style="1" customWidth="1"/>
    <col min="4" max="4" width="112.57421875" style="1" customWidth="1"/>
    <col min="5" max="5" width="9.00390625" style="1" customWidth="1"/>
    <col min="6" max="16384" width="11.421875" style="1" customWidth="1"/>
  </cols>
  <sheetData>
    <row r="1" ht="13.5" thickBot="1"/>
    <row r="2" spans="1:4" ht="24.75" thickBot="1" thickTop="1">
      <c r="A2" s="11"/>
      <c r="B2" s="12" t="s">
        <v>0</v>
      </c>
      <c r="C2" s="105" t="s">
        <v>38</v>
      </c>
      <c r="D2" s="106"/>
    </row>
    <row r="3" spans="1:4" ht="24" thickTop="1">
      <c r="A3" s="107" t="s">
        <v>1</v>
      </c>
      <c r="B3" s="13" t="s">
        <v>31</v>
      </c>
      <c r="C3" s="14"/>
      <c r="D3" s="15"/>
    </row>
    <row r="4" spans="1:4" ht="24" thickBot="1">
      <c r="A4" s="108"/>
      <c r="B4" s="13" t="s">
        <v>25</v>
      </c>
      <c r="C4" s="14">
        <v>59</v>
      </c>
      <c r="D4" s="15"/>
    </row>
    <row r="5" spans="1:4" ht="24" thickTop="1">
      <c r="A5" s="108" t="s">
        <v>1</v>
      </c>
      <c r="B5" s="16" t="s">
        <v>2</v>
      </c>
      <c r="C5" s="17" t="s">
        <v>27</v>
      </c>
      <c r="D5" s="15"/>
    </row>
    <row r="6" spans="1:4" ht="24" thickBot="1">
      <c r="A6" s="108"/>
      <c r="B6" s="18" t="s">
        <v>3</v>
      </c>
      <c r="C6" s="19" t="s">
        <v>34</v>
      </c>
      <c r="D6" s="20"/>
    </row>
    <row r="7" spans="1:4" ht="24.75" customHeight="1" thickBot="1" thickTop="1">
      <c r="A7" s="109"/>
      <c r="B7" s="21" t="s">
        <v>4</v>
      </c>
      <c r="C7" s="110" t="s">
        <v>39</v>
      </c>
      <c r="D7" s="111"/>
    </row>
    <row r="8" spans="1:4" ht="24.75" thickBot="1" thickTop="1">
      <c r="A8" s="22"/>
      <c r="B8" s="23" t="s">
        <v>36</v>
      </c>
      <c r="C8" s="24" t="s">
        <v>37</v>
      </c>
      <c r="D8" s="25" t="s">
        <v>35</v>
      </c>
    </row>
    <row r="9" spans="1:4" ht="377.25" customHeight="1" thickBot="1" thickTop="1">
      <c r="A9" s="112" t="s">
        <v>5</v>
      </c>
      <c r="B9" s="26" t="s">
        <v>26</v>
      </c>
      <c r="C9" s="27">
        <v>0</v>
      </c>
      <c r="D9" s="54"/>
    </row>
    <row r="10" spans="1:4" ht="24.75" thickBot="1" thickTop="1">
      <c r="A10" s="113"/>
      <c r="B10" s="29" t="s">
        <v>6</v>
      </c>
      <c r="C10" s="30">
        <v>0</v>
      </c>
      <c r="D10" s="31">
        <v>0</v>
      </c>
    </row>
    <row r="11" spans="1:4" ht="24.75" thickBot="1" thickTop="1">
      <c r="A11" s="113"/>
      <c r="B11" s="29" t="s">
        <v>7</v>
      </c>
      <c r="C11" s="32">
        <v>0</v>
      </c>
      <c r="D11" s="31">
        <v>0</v>
      </c>
    </row>
    <row r="12" spans="1:4" ht="24.75" thickBot="1" thickTop="1">
      <c r="A12" s="114"/>
      <c r="B12" s="33" t="s">
        <v>8</v>
      </c>
      <c r="C12" s="34">
        <v>0</v>
      </c>
      <c r="D12" s="35">
        <v>0.21</v>
      </c>
    </row>
    <row r="13" spans="1:4" ht="70.5" thickTop="1">
      <c r="A13" s="99" t="s">
        <v>9</v>
      </c>
      <c r="B13" s="26" t="s">
        <v>10</v>
      </c>
      <c r="C13" s="27">
        <v>135</v>
      </c>
      <c r="D13" s="28" t="s">
        <v>40</v>
      </c>
    </row>
    <row r="14" spans="1:4" ht="23.25">
      <c r="A14" s="100"/>
      <c r="B14" s="29" t="s">
        <v>11</v>
      </c>
      <c r="C14" s="30">
        <v>1</v>
      </c>
      <c r="D14" s="31"/>
    </row>
    <row r="15" spans="1:4" ht="23.25">
      <c r="A15" s="100"/>
      <c r="B15" s="29" t="s">
        <v>12</v>
      </c>
      <c r="C15" s="36">
        <f>8/2200</f>
        <v>0.0036363636363636364</v>
      </c>
      <c r="D15" s="31" t="s">
        <v>41</v>
      </c>
    </row>
    <row r="16" spans="1:4" ht="23.25">
      <c r="A16" s="100"/>
      <c r="B16" s="29" t="s">
        <v>13</v>
      </c>
      <c r="C16" s="30">
        <v>0.21</v>
      </c>
      <c r="D16" s="31"/>
    </row>
    <row r="17" spans="1:4" ht="23.25">
      <c r="A17" s="100"/>
      <c r="B17" s="29" t="s">
        <v>14</v>
      </c>
      <c r="C17" s="37">
        <v>20</v>
      </c>
      <c r="D17" s="31" t="s">
        <v>42</v>
      </c>
    </row>
    <row r="18" spans="1:4" ht="24" thickBot="1">
      <c r="A18" s="101"/>
      <c r="B18" s="33" t="s">
        <v>15</v>
      </c>
      <c r="C18" s="38">
        <v>0</v>
      </c>
      <c r="D18" s="35"/>
    </row>
    <row r="19" spans="1:4" ht="71.25" thickBot="1" thickTop="1">
      <c r="A19" s="102" t="s">
        <v>16</v>
      </c>
      <c r="B19" s="26" t="s">
        <v>17</v>
      </c>
      <c r="C19" s="39">
        <f>Hoja2!H43</f>
        <v>133.4830951223412</v>
      </c>
      <c r="D19" s="28" t="s">
        <v>99</v>
      </c>
    </row>
    <row r="20" spans="1:4" ht="24.75" thickBot="1" thickTop="1">
      <c r="A20" s="103"/>
      <c r="B20" s="29" t="s">
        <v>18</v>
      </c>
      <c r="C20" s="60"/>
      <c r="D20" s="31" t="s">
        <v>101</v>
      </c>
    </row>
    <row r="21" spans="1:16" ht="24.75" thickBot="1" thickTop="1">
      <c r="A21" s="103"/>
      <c r="B21" s="29" t="s">
        <v>19</v>
      </c>
      <c r="C21" s="60"/>
      <c r="D21" s="3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4.75" thickBot="1" thickTop="1">
      <c r="A22" s="104"/>
      <c r="B22" s="33"/>
      <c r="C22" s="40"/>
      <c r="D22" s="35"/>
      <c r="F22" s="2"/>
      <c r="G22" s="3"/>
      <c r="H22" s="3"/>
      <c r="I22" s="3"/>
      <c r="J22" s="3"/>
      <c r="K22" s="3"/>
      <c r="L22" s="3"/>
      <c r="M22" s="3"/>
      <c r="N22" s="3"/>
      <c r="O22" s="2"/>
      <c r="P22" s="2"/>
    </row>
    <row r="23" spans="1:17" ht="71.25" thickBot="1" thickTop="1">
      <c r="A23" s="102" t="s">
        <v>20</v>
      </c>
      <c r="B23" s="26" t="s">
        <v>102</v>
      </c>
      <c r="C23" s="41">
        <f>Coment_49!C41</f>
        <v>3066885</v>
      </c>
      <c r="D23" s="42" t="s">
        <v>104</v>
      </c>
      <c r="F23" s="4"/>
      <c r="G23" s="4"/>
      <c r="H23" s="4"/>
      <c r="I23" s="4"/>
      <c r="J23" s="4"/>
      <c r="K23" s="4"/>
      <c r="L23" s="4"/>
      <c r="M23" s="4"/>
      <c r="N23" s="4"/>
      <c r="O23" s="5"/>
      <c r="P23" s="6"/>
      <c r="Q23" s="7"/>
    </row>
    <row r="24" spans="1:4" ht="24.75" thickBot="1" thickTop="1">
      <c r="A24" s="103"/>
      <c r="B24" s="29" t="s">
        <v>21</v>
      </c>
      <c r="C24" s="43">
        <v>0.05</v>
      </c>
      <c r="D24" s="44"/>
    </row>
    <row r="25" spans="1:4" ht="24.75" thickBot="1" thickTop="1">
      <c r="A25" s="103"/>
      <c r="B25" s="29" t="s">
        <v>22</v>
      </c>
      <c r="C25" s="43">
        <v>0.5</v>
      </c>
      <c r="D25" s="45"/>
    </row>
    <row r="26" spans="1:4" ht="24.75" thickBot="1" thickTop="1">
      <c r="A26" s="103"/>
      <c r="B26" s="29" t="s">
        <v>23</v>
      </c>
      <c r="C26" s="43">
        <f>C25</f>
        <v>0.5</v>
      </c>
      <c r="D26" s="31"/>
    </row>
    <row r="27" spans="1:4" ht="24.75" thickBot="1" thickTop="1">
      <c r="A27" s="104"/>
      <c r="B27" s="33" t="s">
        <v>24</v>
      </c>
      <c r="C27" s="34">
        <v>0.1</v>
      </c>
      <c r="D27" s="35">
        <v>0.1</v>
      </c>
    </row>
    <row r="28" ht="24.75" customHeight="1" thickBot="1" thickTop="1"/>
    <row r="29" spans="2:4" ht="43.5" customHeight="1" thickBot="1" thickTop="1">
      <c r="B29" s="96" t="s">
        <v>100</v>
      </c>
      <c r="C29" s="97"/>
      <c r="D29" s="98"/>
    </row>
    <row r="30" ht="13.5" thickTop="1"/>
    <row r="31" spans="14:20" ht="12.75">
      <c r="N31" s="8"/>
      <c r="O31" s="8"/>
      <c r="P31" s="8"/>
      <c r="Q31" s="8"/>
      <c r="R31" s="8"/>
      <c r="S31" s="8"/>
      <c r="T31" s="8"/>
    </row>
    <row r="32" spans="1:20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2.75">
      <c r="A35" s="8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8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2.75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2.75">
      <c r="A38" s="8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2.75">
      <c r="A39" s="8"/>
      <c r="B39" s="8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2.75">
      <c r="A40" s="8"/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2.75">
      <c r="A41" s="8"/>
      <c r="B41" s="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</sheetData>
  <mergeCells count="8">
    <mergeCell ref="C2:D2"/>
    <mergeCell ref="A3:A7"/>
    <mergeCell ref="C7:D7"/>
    <mergeCell ref="A9:A12"/>
    <mergeCell ref="B29:D29"/>
    <mergeCell ref="A13:A18"/>
    <mergeCell ref="A19:A22"/>
    <mergeCell ref="A23:A27"/>
  </mergeCells>
  <printOptions/>
  <pageMargins left="0.3" right="0.17" top="0.65" bottom="0.46" header="0" footer="0"/>
  <pageSetup fitToHeight="0" fitToWidth="1" horizontalDpi="150" verticalDpi="15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0:M41"/>
  <sheetViews>
    <sheetView view="pageBreakPreview" zoomScale="90" zoomScaleSheetLayoutView="90" workbookViewId="0" topLeftCell="B1">
      <selection activeCell="C41" sqref="C41"/>
    </sheetView>
  </sheetViews>
  <sheetFormatPr defaultColWidth="11.421875" defaultRowHeight="12.75"/>
  <cols>
    <col min="1" max="1" width="3.421875" style="0" customWidth="1"/>
    <col min="2" max="2" width="37.7109375" style="0" customWidth="1"/>
    <col min="13" max="13" width="40.421875" style="0" customWidth="1"/>
  </cols>
  <sheetData>
    <row r="39" ht="13.5" thickBot="1"/>
    <row r="40" spans="2:13" ht="33.75" customHeight="1" thickTop="1">
      <c r="B40" s="46" t="s">
        <v>32</v>
      </c>
      <c r="C40" s="47">
        <v>2013</v>
      </c>
      <c r="D40" s="47">
        <v>2014</v>
      </c>
      <c r="E40" s="47">
        <v>2015</v>
      </c>
      <c r="F40" s="47">
        <v>2016</v>
      </c>
      <c r="G40" s="47">
        <v>2017</v>
      </c>
      <c r="H40" s="47">
        <v>2018</v>
      </c>
      <c r="I40" s="47">
        <v>2019</v>
      </c>
      <c r="J40" s="47">
        <v>2020</v>
      </c>
      <c r="K40" s="48" t="s">
        <v>29</v>
      </c>
      <c r="L40" s="47" t="s">
        <v>30</v>
      </c>
      <c r="M40" s="49" t="s">
        <v>33</v>
      </c>
    </row>
    <row r="41" spans="2:13" ht="95.25" thickBot="1">
      <c r="B41" s="50" t="s">
        <v>43</v>
      </c>
      <c r="C41" s="51">
        <v>3066885</v>
      </c>
      <c r="D41" s="51">
        <v>3066885</v>
      </c>
      <c r="E41" s="51">
        <v>3066885</v>
      </c>
      <c r="F41" s="51">
        <v>3066885</v>
      </c>
      <c r="G41" s="51">
        <v>3066885</v>
      </c>
      <c r="H41" s="51">
        <v>3066885</v>
      </c>
      <c r="I41" s="51">
        <v>3066885</v>
      </c>
      <c r="J41" s="51">
        <v>3066885</v>
      </c>
      <c r="K41" s="52" t="s">
        <v>28</v>
      </c>
      <c r="L41" s="52" t="s">
        <v>44</v>
      </c>
      <c r="M41" s="53"/>
    </row>
    <row r="42" ht="13.5" thickTop="1"/>
  </sheetData>
  <printOptions/>
  <pageMargins left="0.32" right="0.09" top="1" bottom="0.24" header="0" footer="0"/>
  <pageSetup fitToHeight="0" fitToWidth="1" horizontalDpi="150" verticalDpi="15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N22" sqref="N22"/>
    </sheetView>
  </sheetViews>
  <sheetFormatPr defaultColWidth="11.421875" defaultRowHeight="12.75"/>
  <cols>
    <col min="1" max="1" width="13.7109375" style="62" customWidth="1"/>
    <col min="2" max="2" width="11.421875" style="62" customWidth="1"/>
    <col min="3" max="3" width="11.140625" style="62" customWidth="1"/>
    <col min="4" max="5" width="11.421875" style="62" customWidth="1"/>
    <col min="6" max="6" width="11.00390625" style="62" customWidth="1"/>
    <col min="7" max="7" width="10.140625" style="62" customWidth="1"/>
    <col min="8" max="8" width="12.7109375" style="62" customWidth="1"/>
    <col min="9" max="9" width="9.421875" style="62" customWidth="1"/>
    <col min="10" max="11" width="11.421875" style="62" customWidth="1"/>
    <col min="12" max="12" width="10.00390625" style="62" customWidth="1"/>
    <col min="13" max="13" width="9.421875" style="62" customWidth="1"/>
    <col min="14" max="16384" width="11.421875" style="62" customWidth="1"/>
  </cols>
  <sheetData>
    <row r="1" ht="12">
      <c r="A1" s="61" t="s">
        <v>45</v>
      </c>
    </row>
    <row r="3" spans="1:14" ht="36">
      <c r="A3" s="63" t="s">
        <v>46</v>
      </c>
      <c r="B3" s="63" t="s">
        <v>47</v>
      </c>
      <c r="C3" s="64" t="s">
        <v>48</v>
      </c>
      <c r="D3" s="64" t="s">
        <v>49</v>
      </c>
      <c r="E3" s="63" t="s">
        <v>50</v>
      </c>
      <c r="F3" s="64" t="s">
        <v>51</v>
      </c>
      <c r="G3" s="64" t="s">
        <v>52</v>
      </c>
      <c r="H3" s="63" t="s">
        <v>53</v>
      </c>
      <c r="I3" s="63" t="s">
        <v>54</v>
      </c>
      <c r="J3" s="65" t="s">
        <v>55</v>
      </c>
      <c r="K3" s="65" t="s">
        <v>56</v>
      </c>
      <c r="L3" s="66" t="s">
        <v>57</v>
      </c>
      <c r="M3" s="66" t="s">
        <v>58</v>
      </c>
      <c r="N3" s="67" t="s">
        <v>59</v>
      </c>
    </row>
    <row r="4" spans="1:14" ht="24">
      <c r="A4" s="68"/>
      <c r="B4" s="63" t="s">
        <v>60</v>
      </c>
      <c r="C4" s="64" t="s">
        <v>61</v>
      </c>
      <c r="D4" s="64" t="s">
        <v>62</v>
      </c>
      <c r="E4" s="63" t="s">
        <v>63</v>
      </c>
      <c r="F4" s="64" t="s">
        <v>64</v>
      </c>
      <c r="G4" s="64" t="s">
        <v>65</v>
      </c>
      <c r="H4" s="63" t="s">
        <v>66</v>
      </c>
      <c r="I4" s="63" t="s">
        <v>67</v>
      </c>
      <c r="J4" s="65" t="s">
        <v>68</v>
      </c>
      <c r="K4" s="65" t="s">
        <v>69</v>
      </c>
      <c r="L4" s="63" t="s">
        <v>70</v>
      </c>
      <c r="M4" s="63" t="s">
        <v>71</v>
      </c>
      <c r="N4" s="67" t="s">
        <v>72</v>
      </c>
    </row>
    <row r="5" spans="1:14" ht="12">
      <c r="A5" s="69" t="s">
        <v>73</v>
      </c>
      <c r="B5" s="69">
        <v>2392600</v>
      </c>
      <c r="C5" s="94">
        <v>0.78</v>
      </c>
      <c r="D5" s="70">
        <v>0.9</v>
      </c>
      <c r="E5" s="55">
        <f>B5*C5*D5</f>
        <v>1679605.2</v>
      </c>
      <c r="F5" s="69">
        <v>0.5</v>
      </c>
      <c r="G5" s="69">
        <v>0.0039</v>
      </c>
      <c r="H5" s="55">
        <f>E5*F5</f>
        <v>839802.6</v>
      </c>
      <c r="I5" s="55">
        <f>E5*G5</f>
        <v>6550.460279999999</v>
      </c>
      <c r="J5" s="71">
        <v>0.005</v>
      </c>
      <c r="K5" s="71">
        <v>0.007</v>
      </c>
      <c r="L5" s="55">
        <f>H5*J5*(16/12)</f>
        <v>5598.683999999999</v>
      </c>
      <c r="M5" s="55">
        <f>I5*K5*(44/28)</f>
        <v>72.05506308</v>
      </c>
      <c r="N5" s="56">
        <f>L5*21+M5*310</f>
        <v>139909.4335548</v>
      </c>
    </row>
    <row r="6" spans="1:14" ht="12">
      <c r="A6" s="69" t="s">
        <v>74</v>
      </c>
      <c r="B6" s="69">
        <v>1711000</v>
      </c>
      <c r="C6" s="94">
        <v>0.78</v>
      </c>
      <c r="D6" s="70">
        <v>0.9</v>
      </c>
      <c r="E6" s="55">
        <f>B6*C6*D6</f>
        <v>1201122</v>
      </c>
      <c r="F6" s="69">
        <v>0.6</v>
      </c>
      <c r="G6" s="69">
        <v>0.0036</v>
      </c>
      <c r="H6" s="55">
        <f>E6*F6</f>
        <v>720673.2</v>
      </c>
      <c r="I6" s="55">
        <f>E6*G6</f>
        <v>4324.0392</v>
      </c>
      <c r="J6" s="71">
        <v>0.005</v>
      </c>
      <c r="K6" s="71">
        <v>0.007</v>
      </c>
      <c r="L6" s="55">
        <f>H6*J6*(16/12)</f>
        <v>4804.487999999999</v>
      </c>
      <c r="M6" s="55">
        <f>I6*K6*(44/28)</f>
        <v>47.5644312</v>
      </c>
      <c r="N6" s="56">
        <f>L6*21+M6*310</f>
        <v>115639.22167199999</v>
      </c>
    </row>
    <row r="7" spans="1:14" ht="12">
      <c r="A7" s="69" t="s">
        <v>75</v>
      </c>
      <c r="B7" s="69">
        <v>1655005</v>
      </c>
      <c r="C7" s="94">
        <v>0.78</v>
      </c>
      <c r="D7" s="70">
        <v>0.9</v>
      </c>
      <c r="E7" s="55">
        <f>B7*C7*D7</f>
        <v>1161813.5100000002</v>
      </c>
      <c r="F7" s="69">
        <v>0.6</v>
      </c>
      <c r="G7" s="69">
        <v>0.0039</v>
      </c>
      <c r="H7" s="55">
        <f>E7*F7</f>
        <v>697088.1060000001</v>
      </c>
      <c r="I7" s="55">
        <f>E7*G7</f>
        <v>4531.0726890000005</v>
      </c>
      <c r="J7" s="71">
        <v>0.005</v>
      </c>
      <c r="K7" s="71">
        <v>0.007</v>
      </c>
      <c r="L7" s="55">
        <f>H7*J7*(16/12)</f>
        <v>4647.254040000001</v>
      </c>
      <c r="M7" s="55">
        <f>I7*K7*(44/28)</f>
        <v>49.841799579</v>
      </c>
      <c r="N7" s="56">
        <f>L7*21+M7*310</f>
        <v>113043.29270949001</v>
      </c>
    </row>
    <row r="8" spans="1:14" ht="24">
      <c r="A8" s="69" t="s">
        <v>76</v>
      </c>
      <c r="B8" s="69">
        <v>340018</v>
      </c>
      <c r="C8" s="94">
        <v>0.78</v>
      </c>
      <c r="D8" s="70">
        <v>0.9</v>
      </c>
      <c r="E8" s="55">
        <f>B8*C8*D8</f>
        <v>238692.63600000003</v>
      </c>
      <c r="F8" s="69">
        <v>0.6</v>
      </c>
      <c r="G8" s="69">
        <v>0.0036</v>
      </c>
      <c r="H8" s="55">
        <f>E8*F8</f>
        <v>143215.5816</v>
      </c>
      <c r="I8" s="55">
        <f>E8*G8</f>
        <v>859.2934896</v>
      </c>
      <c r="J8" s="71">
        <v>0.005</v>
      </c>
      <c r="K8" s="71">
        <v>0.007</v>
      </c>
      <c r="L8" s="55">
        <f>H8*J8*(16/12)</f>
        <v>954.7705440000001</v>
      </c>
      <c r="M8" s="55">
        <f>I8*K8*(44/28)</f>
        <v>9.452228385600002</v>
      </c>
      <c r="N8" s="56">
        <f>L8*21+M8*310</f>
        <v>22980.372223536004</v>
      </c>
    </row>
    <row r="9" spans="1:14" ht="12">
      <c r="A9" s="57" t="s">
        <v>77</v>
      </c>
      <c r="C9" s="95"/>
      <c r="N9" s="57">
        <f>SUM(N5:N8)</f>
        <v>391572.320159826</v>
      </c>
    </row>
    <row r="11" spans="4:5" ht="12">
      <c r="D11" s="123" t="s">
        <v>78</v>
      </c>
      <c r="E11" s="124"/>
    </row>
    <row r="12" spans="4:5" ht="12">
      <c r="D12" s="69" t="s">
        <v>73</v>
      </c>
      <c r="E12" s="69">
        <v>2392600</v>
      </c>
    </row>
    <row r="13" spans="4:5" ht="12">
      <c r="D13" s="69" t="s">
        <v>74</v>
      </c>
      <c r="E13" s="69">
        <v>1711000</v>
      </c>
    </row>
    <row r="14" spans="4:5" ht="12">
      <c r="D14" s="69" t="s">
        <v>75</v>
      </c>
      <c r="E14" s="69">
        <v>1655005</v>
      </c>
    </row>
    <row r="15" spans="4:5" ht="24">
      <c r="D15" s="69" t="s">
        <v>76</v>
      </c>
      <c r="E15" s="69">
        <v>340018</v>
      </c>
    </row>
    <row r="16" spans="4:5" ht="12">
      <c r="D16" s="69" t="s">
        <v>79</v>
      </c>
      <c r="E16" s="69">
        <f>SUM(E12:E15)</f>
        <v>6098623</v>
      </c>
    </row>
    <row r="19" spans="4:8" ht="12">
      <c r="D19" s="125" t="s">
        <v>80</v>
      </c>
      <c r="E19" s="115"/>
      <c r="F19" s="72"/>
      <c r="G19" s="125" t="s">
        <v>81</v>
      </c>
      <c r="H19" s="115"/>
    </row>
    <row r="20" spans="4:8" ht="12">
      <c r="D20" s="69" t="s">
        <v>73</v>
      </c>
      <c r="E20" s="69">
        <v>0.5</v>
      </c>
      <c r="F20" s="72"/>
      <c r="G20" s="69" t="s">
        <v>73</v>
      </c>
      <c r="H20" s="69">
        <v>0.0039</v>
      </c>
    </row>
    <row r="21" spans="4:8" ht="12">
      <c r="D21" s="69" t="s">
        <v>74</v>
      </c>
      <c r="E21" s="69">
        <v>0.6</v>
      </c>
      <c r="F21" s="72"/>
      <c r="G21" s="69" t="s">
        <v>74</v>
      </c>
      <c r="H21" s="69">
        <v>0.0036</v>
      </c>
    </row>
    <row r="22" spans="4:8" ht="12">
      <c r="D22" s="69" t="s">
        <v>75</v>
      </c>
      <c r="E22" s="69">
        <v>0.6</v>
      </c>
      <c r="F22" s="72"/>
      <c r="G22" s="69" t="s">
        <v>75</v>
      </c>
      <c r="H22" s="69">
        <v>0.0039</v>
      </c>
    </row>
    <row r="23" spans="4:12" ht="24">
      <c r="D23" s="69" t="s">
        <v>76</v>
      </c>
      <c r="E23" s="69">
        <v>0.6</v>
      </c>
      <c r="F23" s="72"/>
      <c r="G23" s="69" t="s">
        <v>76</v>
      </c>
      <c r="H23" s="69">
        <v>0.0036</v>
      </c>
      <c r="K23" s="73"/>
      <c r="L23" s="73"/>
    </row>
    <row r="26" ht="12">
      <c r="A26" s="61" t="s">
        <v>82</v>
      </c>
    </row>
    <row r="27" ht="12">
      <c r="A27" s="61"/>
    </row>
    <row r="28" spans="1:10" ht="48">
      <c r="A28" s="126" t="s">
        <v>46</v>
      </c>
      <c r="B28" s="127"/>
      <c r="C28" s="66" t="s">
        <v>47</v>
      </c>
      <c r="D28" s="66" t="s">
        <v>83</v>
      </c>
      <c r="E28" s="66" t="s">
        <v>84</v>
      </c>
      <c r="F28" s="65" t="s">
        <v>52</v>
      </c>
      <c r="G28" s="74" t="s">
        <v>85</v>
      </c>
      <c r="H28" s="66" t="s">
        <v>56</v>
      </c>
      <c r="I28" s="66" t="s">
        <v>58</v>
      </c>
      <c r="J28" s="75" t="s">
        <v>59</v>
      </c>
    </row>
    <row r="29" spans="1:10" ht="12">
      <c r="A29" s="121"/>
      <c r="B29" s="122"/>
      <c r="C29" s="66" t="s">
        <v>60</v>
      </c>
      <c r="D29" s="66" t="s">
        <v>61</v>
      </c>
      <c r="E29" s="66" t="s">
        <v>86</v>
      </c>
      <c r="F29" s="65" t="s">
        <v>87</v>
      </c>
      <c r="G29" s="66" t="s">
        <v>88</v>
      </c>
      <c r="H29" s="66" t="s">
        <v>65</v>
      </c>
      <c r="I29" s="63" t="s">
        <v>89</v>
      </c>
      <c r="J29" s="75" t="s">
        <v>90</v>
      </c>
    </row>
    <row r="30" spans="1:10" ht="12">
      <c r="A30" s="118" t="s">
        <v>73</v>
      </c>
      <c r="B30" s="119"/>
      <c r="C30" s="78">
        <v>2392600</v>
      </c>
      <c r="D30" s="93">
        <v>0.22</v>
      </c>
      <c r="E30" s="58">
        <f>C30*D30</f>
        <v>526372</v>
      </c>
      <c r="F30" s="80">
        <v>0.0039</v>
      </c>
      <c r="G30" s="78">
        <f>E30*F30</f>
        <v>2052.8507999999997</v>
      </c>
      <c r="H30" s="79">
        <v>0.0125</v>
      </c>
      <c r="I30" s="55">
        <f>G30*H30</f>
        <v>25.660635</v>
      </c>
      <c r="J30" s="59">
        <f>I30*310</f>
        <v>7954.79685</v>
      </c>
    </row>
    <row r="31" spans="1:10" ht="12.75" customHeight="1">
      <c r="A31" s="118" t="s">
        <v>74</v>
      </c>
      <c r="B31" s="119"/>
      <c r="C31" s="78">
        <v>1711000</v>
      </c>
      <c r="D31" s="93">
        <v>0.22</v>
      </c>
      <c r="E31" s="58">
        <f>C31*D31</f>
        <v>376420</v>
      </c>
      <c r="F31" s="80">
        <v>0.0036</v>
      </c>
      <c r="G31" s="78">
        <f>E31*F31</f>
        <v>1355.1119999999999</v>
      </c>
      <c r="H31" s="79">
        <v>0.0125</v>
      </c>
      <c r="I31" s="55">
        <f>G31*H31</f>
        <v>16.9389</v>
      </c>
      <c r="J31" s="59">
        <f>I31*310</f>
        <v>5251.059</v>
      </c>
    </row>
    <row r="32" spans="1:10" ht="12.75" customHeight="1">
      <c r="A32" s="118" t="s">
        <v>75</v>
      </c>
      <c r="B32" s="119" t="s">
        <v>75</v>
      </c>
      <c r="C32" s="78">
        <v>1655005</v>
      </c>
      <c r="D32" s="93">
        <v>0.22</v>
      </c>
      <c r="E32" s="58">
        <f>C32*D32</f>
        <v>364101.1</v>
      </c>
      <c r="F32" s="80">
        <v>0.0039</v>
      </c>
      <c r="G32" s="78">
        <f>E32*F32</f>
        <v>1419.9942899999999</v>
      </c>
      <c r="H32" s="79">
        <v>0.0125</v>
      </c>
      <c r="I32" s="55">
        <f>G32*H32</f>
        <v>17.749928625</v>
      </c>
      <c r="J32" s="59">
        <f>I32*310</f>
        <v>5502.47787375</v>
      </c>
    </row>
    <row r="33" spans="1:10" ht="12">
      <c r="A33" s="118" t="s">
        <v>76</v>
      </c>
      <c r="B33" s="119" t="s">
        <v>76</v>
      </c>
      <c r="C33" s="78">
        <v>340018</v>
      </c>
      <c r="D33" s="93">
        <v>0.22</v>
      </c>
      <c r="E33" s="58">
        <f>C33*D33</f>
        <v>74803.96</v>
      </c>
      <c r="F33" s="80">
        <v>0.0036</v>
      </c>
      <c r="G33" s="78">
        <f>E33*F33</f>
        <v>269.294256</v>
      </c>
      <c r="H33" s="79">
        <v>0.0125</v>
      </c>
      <c r="I33" s="55">
        <f>G33*H33</f>
        <v>3.3661782000000002</v>
      </c>
      <c r="J33" s="59">
        <f>I33*310</f>
        <v>1043.5152420000002</v>
      </c>
    </row>
    <row r="36" ht="12">
      <c r="A36" s="61" t="s">
        <v>91</v>
      </c>
    </row>
    <row r="37" spans="1:9" ht="48">
      <c r="A37" s="120" t="s">
        <v>46</v>
      </c>
      <c r="B37" s="120"/>
      <c r="C37" s="67" t="s">
        <v>92</v>
      </c>
      <c r="D37" s="75" t="s">
        <v>93</v>
      </c>
      <c r="E37" s="81" t="s">
        <v>94</v>
      </c>
      <c r="F37" s="82" t="s">
        <v>95</v>
      </c>
      <c r="G37" s="83" t="s">
        <v>96</v>
      </c>
      <c r="H37" s="84" t="s">
        <v>97</v>
      </c>
      <c r="I37" s="85" t="s">
        <v>98</v>
      </c>
    </row>
    <row r="38" spans="1:9" ht="12">
      <c r="A38" s="115" t="s">
        <v>73</v>
      </c>
      <c r="B38" s="115"/>
      <c r="C38" s="63">
        <f>N5</f>
        <v>139909.4335548</v>
      </c>
      <c r="D38" s="63">
        <f>J30</f>
        <v>7954.79685</v>
      </c>
      <c r="E38" s="63">
        <f>C38+D38</f>
        <v>147864.2304048</v>
      </c>
      <c r="F38" s="86">
        <f>2392600/2</f>
        <v>1196300</v>
      </c>
      <c r="G38" s="90">
        <f>E38/F38</f>
        <v>0.12360129600000001</v>
      </c>
      <c r="H38" s="87">
        <f>G38*1000</f>
        <v>123.60129600000002</v>
      </c>
      <c r="I38" s="86">
        <f>C30/F38</f>
        <v>2</v>
      </c>
    </row>
    <row r="39" spans="1:9" ht="12">
      <c r="A39" s="115" t="s">
        <v>74</v>
      </c>
      <c r="B39" s="115" t="s">
        <v>74</v>
      </c>
      <c r="C39" s="63">
        <f>N6</f>
        <v>115639.22167199999</v>
      </c>
      <c r="D39" s="63">
        <f>J31*0.22</f>
        <v>1155.23298</v>
      </c>
      <c r="E39" s="63">
        <f>C39+D39</f>
        <v>116794.45465199999</v>
      </c>
      <c r="F39" s="86">
        <f>786699</f>
        <v>786699</v>
      </c>
      <c r="G39" s="90">
        <f>E39/F39</f>
        <v>0.1484614250837995</v>
      </c>
      <c r="H39" s="87">
        <f>G39*1000</f>
        <v>148.4614250837995</v>
      </c>
      <c r="I39" s="86">
        <f>C31/F39</f>
        <v>2.174910607487743</v>
      </c>
    </row>
    <row r="40" spans="1:9" ht="12">
      <c r="A40" s="115" t="s">
        <v>75</v>
      </c>
      <c r="B40" s="115" t="s">
        <v>75</v>
      </c>
      <c r="C40" s="63">
        <f>N7</f>
        <v>113043.29270949001</v>
      </c>
      <c r="D40" s="63">
        <f>J32*0.22</f>
        <v>1210.545132225</v>
      </c>
      <c r="E40" s="63">
        <f>C40+D40</f>
        <v>114253.83784171501</v>
      </c>
      <c r="F40" s="86">
        <v>517189</v>
      </c>
      <c r="G40" s="90">
        <f>E40/F40</f>
        <v>0.22091312429636942</v>
      </c>
      <c r="H40" s="87">
        <f>G40*1000</f>
        <v>220.9131242963694</v>
      </c>
      <c r="I40" s="86">
        <f>C32/F40</f>
        <v>3.200000386705827</v>
      </c>
    </row>
    <row r="41" spans="1:9" ht="12">
      <c r="A41" s="115" t="s">
        <v>76</v>
      </c>
      <c r="B41" s="115" t="s">
        <v>76</v>
      </c>
      <c r="C41" s="63">
        <f>N8</f>
        <v>22980.372223536004</v>
      </c>
      <c r="D41" s="63">
        <f>J33*0.22</f>
        <v>229.57335324000005</v>
      </c>
      <c r="E41" s="63">
        <f>C41+D41</f>
        <v>23209.945576776005</v>
      </c>
      <c r="F41" s="86">
        <v>566697</v>
      </c>
      <c r="G41" s="90">
        <f>E41/F41</f>
        <v>0.040956535109195925</v>
      </c>
      <c r="H41" s="87">
        <f>G41*1000</f>
        <v>40.956535109195926</v>
      </c>
      <c r="I41" s="86">
        <f>C33/F41</f>
        <v>0.5999996470777152</v>
      </c>
    </row>
    <row r="42" spans="1:9" ht="12">
      <c r="A42" s="76"/>
      <c r="B42" s="77"/>
      <c r="C42" s="63"/>
      <c r="D42" s="63"/>
      <c r="E42" s="63"/>
      <c r="F42" s="86"/>
      <c r="G42" s="90"/>
      <c r="H42" s="87"/>
      <c r="I42" s="86"/>
    </row>
    <row r="43" spans="1:9" ht="12">
      <c r="A43" s="116" t="s">
        <v>79</v>
      </c>
      <c r="B43" s="117"/>
      <c r="C43" s="63">
        <f aca="true" t="shared" si="0" ref="C43:I43">AVERAGE(C38:C41)</f>
        <v>97893.0800399565</v>
      </c>
      <c r="D43" s="63">
        <f t="shared" si="0"/>
        <v>2637.5370788662503</v>
      </c>
      <c r="E43" s="63">
        <f t="shared" si="0"/>
        <v>100530.61711882276</v>
      </c>
      <c r="F43" s="63">
        <f t="shared" si="0"/>
        <v>766721.25</v>
      </c>
      <c r="G43" s="91">
        <f t="shared" si="0"/>
        <v>0.13348309512234122</v>
      </c>
      <c r="H43" s="63">
        <f t="shared" si="0"/>
        <v>133.4830951223412</v>
      </c>
      <c r="I43" s="63">
        <f t="shared" si="0"/>
        <v>1.9937276603178213</v>
      </c>
    </row>
    <row r="44" spans="1:9" ht="12">
      <c r="A44" s="88"/>
      <c r="B44" s="88"/>
      <c r="C44" s="89"/>
      <c r="D44" s="89"/>
      <c r="E44" s="89"/>
      <c r="F44" s="89"/>
      <c r="G44" s="92"/>
      <c r="H44" s="89"/>
      <c r="I44" s="89"/>
    </row>
    <row r="45" spans="1:8" ht="12">
      <c r="A45" s="86" t="s">
        <v>103</v>
      </c>
      <c r="B45" s="86"/>
      <c r="C45" s="86">
        <f>SUM(C38:C41)</f>
        <v>391572.320159826</v>
      </c>
      <c r="D45" s="86">
        <f>SUM(D38:D41)</f>
        <v>10550.148315465001</v>
      </c>
      <c r="E45" s="86">
        <f>D45+C45</f>
        <v>402122.46847529104</v>
      </c>
      <c r="F45" s="86">
        <f>SUM(F38:F41)</f>
        <v>3066885</v>
      </c>
      <c r="G45" s="90">
        <f>E45/F45</f>
        <v>0.13111755689414212</v>
      </c>
      <c r="H45" s="86">
        <f>G45*1000</f>
        <v>131.11755689414213</v>
      </c>
    </row>
  </sheetData>
  <mergeCells count="15">
    <mergeCell ref="D11:E11"/>
    <mergeCell ref="D19:E19"/>
    <mergeCell ref="G19:H19"/>
    <mergeCell ref="A28:B28"/>
    <mergeCell ref="A29:B29"/>
    <mergeCell ref="A30:B30"/>
    <mergeCell ref="A31:B31"/>
    <mergeCell ref="A32:B32"/>
    <mergeCell ref="A40:B40"/>
    <mergeCell ref="A41:B41"/>
    <mergeCell ref="A43:B43"/>
    <mergeCell ref="A33:B33"/>
    <mergeCell ref="A37:B37"/>
    <mergeCell ref="A38:B38"/>
    <mergeCell ref="A39:B3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Medio Ambiente Rural y Marino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SGICST</dc:creator>
  <cp:keywords/>
  <dc:description/>
  <cp:lastModifiedBy>cau</cp:lastModifiedBy>
  <cp:lastPrinted>2014-02-04T10:51:03Z</cp:lastPrinted>
  <dcterms:created xsi:type="dcterms:W3CDTF">2013-11-19T11:56:13Z</dcterms:created>
  <dcterms:modified xsi:type="dcterms:W3CDTF">2014-02-11T13:30:38Z</dcterms:modified>
  <cp:category/>
  <cp:version/>
  <cp:contentType/>
  <cp:contentStatus/>
</cp:coreProperties>
</file>